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rsaprahotmail-my.sharepoint.com/personal/rishi_learndatainsights_com/Documents/02-MY COMMUNITY CONTENT/2-0 Community Events/2026/05_May/Accountex/Demos/Salary Accruals/"/>
    </mc:Choice>
  </mc:AlternateContent>
  <xr:revisionPtr revIDLastSave="544" documentId="8_{B7A6FB36-D167-FB46-ABDD-649F70EC9253}" xr6:coauthVersionLast="47" xr6:coauthVersionMax="47" xr10:uidLastSave="{1A143B2F-DFDF-493D-8548-A31CF57F370C}"/>
  <bookViews>
    <workbookView xWindow="34440" yWindow="-120" windowWidth="19440" windowHeight="10320" firstSheet="2" activeTab="5" xr2:uid="{AD11321E-064B-E746-8346-F7462AC7A756}"/>
  </bookViews>
  <sheets>
    <sheet name="Claude Log" sheetId="5" r:id="rId1"/>
    <sheet name="General Ledger" sheetId="1" r:id="rId2"/>
    <sheet name="Bank Statement" sheetId="2" r:id="rId3"/>
    <sheet name="Staff List" sheetId="4" r:id="rId4"/>
    <sheet name="Calcs" sheetId="7" r:id="rId5"/>
    <sheet name="Journal" sheetId="8" r:id="rId6"/>
    <sheet name="Validation Log" sheetId="9" r:id="rId7"/>
  </sheets>
  <definedNames>
    <definedName name="_xlnm._FilterDatabase" localSheetId="1" hidden="1">'General Ledger'!$A$1:$G$3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5" i="8" l="1"/>
  <c r="F404" i="8"/>
  <c r="F403" i="8"/>
  <c r="F402" i="8"/>
  <c r="F401" i="8"/>
  <c r="A302" i="8" a="1"/>
  <c r="A302" i="8" s="1"/>
  <c r="A202" i="8" a="1"/>
  <c r="A202" i="8" s="1"/>
  <c r="A102" i="8" a="1"/>
  <c r="A102" i="8" s="1"/>
  <c r="H6" i="8" a="1"/>
  <c r="H6" i="8" s="1"/>
  <c r="G6" i="8" a="1"/>
  <c r="G6" i="8" s="1"/>
  <c r="F6" i="8" a="1"/>
  <c r="F6" i="8" s="1"/>
  <c r="E6" i="8" a="1"/>
  <c r="E6" i="8" s="1"/>
  <c r="D6" i="8" a="1"/>
  <c r="D6" i="8" s="1"/>
  <c r="C6" i="8" a="1"/>
  <c r="C6" i="8" s="1"/>
  <c r="B6" i="8" a="1"/>
  <c r="B6" i="8" s="1"/>
  <c r="A6" i="8" a="1"/>
  <c r="A6" i="8" s="1"/>
  <c r="Y9" i="7" a="1"/>
  <c r="Y9" i="7" s="1"/>
  <c r="Y8" i="7" a="1"/>
  <c r="Y8" i="7" s="1"/>
  <c r="Q9" i="7" a="1"/>
  <c r="Q9" i="7" s="1"/>
  <c r="Q8" i="7" a="1"/>
  <c r="Q8" i="7" s="1"/>
  <c r="I9" i="7" a="1"/>
  <c r="I9" i="7" s="1"/>
  <c r="I8" i="7" a="1"/>
  <c r="I8" i="7" s="1"/>
  <c r="G9" i="7" a="1"/>
  <c r="G9" i="7" s="1"/>
  <c r="F9" i="7" a="1"/>
  <c r="F9" i="7" s="1"/>
  <c r="E9" i="7" a="1"/>
  <c r="E9" i="7" s="1"/>
  <c r="D9" i="7" a="1"/>
  <c r="D9" i="7" s="1"/>
  <c r="C9" i="7" a="1"/>
  <c r="C9" i="7" s="1"/>
  <c r="B9" i="7" a="1"/>
  <c r="B9" i="7" s="1"/>
  <c r="A9" i="7" a="1"/>
  <c r="A9" i="7" s="1"/>
  <c r="B6" i="7"/>
  <c r="B5" i="7" a="1"/>
  <c r="B5" i="7" s="1"/>
  <c r="B4" i="7" a="1"/>
  <c r="B4" i="7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<sst xmlns="http://schemas.openxmlformats.org/spreadsheetml/2006/main" count="186" uniqueCount="108">
  <si>
    <t>Period</t>
  </si>
  <si>
    <t>Posted Date</t>
  </si>
  <si>
    <t xml:space="preserve">Transaction Source </t>
  </si>
  <si>
    <t>##</t>
  </si>
  <si>
    <t>5000 - Salary and wages</t>
  </si>
  <si>
    <t>PR</t>
  </si>
  <si>
    <t>Bank Account</t>
  </si>
  <si>
    <t>Posted</t>
  </si>
  <si>
    <t>Text</t>
  </si>
  <si>
    <t>Currency</t>
  </si>
  <si>
    <t>Bank account amt</t>
  </si>
  <si>
    <t>Barclays Business Bank Account</t>
  </si>
  <si>
    <t>GBP</t>
  </si>
  <si>
    <t>Cost Centre</t>
  </si>
  <si>
    <t>Account</t>
  </si>
  <si>
    <t>Description</t>
  </si>
  <si>
    <t>Amount</t>
  </si>
  <si>
    <t>Role</t>
  </si>
  <si>
    <t>Company Code</t>
  </si>
  <si>
    <t>1000-Marketing Expenses</t>
  </si>
  <si>
    <t>Cost for LinkedIn Sales Navigator</t>
  </si>
  <si>
    <t>Personnel No</t>
  </si>
  <si>
    <t>First Name</t>
  </si>
  <si>
    <t>Surname</t>
  </si>
  <si>
    <t>Salary for Finance AI Specialist Fixed Fee contract</t>
  </si>
  <si>
    <t>Finance AI Specialist</t>
  </si>
  <si>
    <t>Salary for Finance Management Accountant Fixed Fee contract</t>
  </si>
  <si>
    <t>Finance Management Accountant</t>
  </si>
  <si>
    <t>Salary Payment-Bill Adams</t>
  </si>
  <si>
    <t>Salary Payment-Nazir Husain</t>
  </si>
  <si>
    <t>Bill</t>
  </si>
  <si>
    <t>Adams</t>
  </si>
  <si>
    <t>Nazir</t>
  </si>
  <si>
    <t>Husain</t>
  </si>
  <si>
    <t>Salary for Finance Data Architect Fixed Fee contract</t>
  </si>
  <si>
    <t>Malcom</t>
  </si>
  <si>
    <t>Carr</t>
  </si>
  <si>
    <t>Finance Data Architect</t>
  </si>
  <si>
    <t>Nov/25</t>
  </si>
  <si>
    <t>Dec/25</t>
  </si>
  <si>
    <t>Salary Payment-Malcom Carr</t>
  </si>
  <si>
    <t>Turn #</t>
  </si>
  <si>
    <t>Date</t>
  </si>
  <si>
    <t>User Request</t>
  </si>
  <si>
    <t>Action Taken</t>
  </si>
  <si>
    <t>Details</t>
  </si>
  <si>
    <t>Outcome</t>
  </si>
  <si>
    <t>Salary Accrual Calcs (dynamic)</t>
  </si>
  <si>
    <t>Spilled formulas — auto-resize when staff or GL periods change</t>
  </si>
  <si>
    <t>Periods (sorted)</t>
  </si>
  <si>
    <t>Period label</t>
  </si>
  <si>
    <t>Period count (N)</t>
  </si>
  <si>
    <t>Combo</t>
  </si>
  <si>
    <t>Contractual Payment (GL)</t>
  </si>
  <si>
    <t>Actual Payment (Bank)</t>
  </si>
  <si>
    <t>Difference (GL − Bank)</t>
  </si>
  <si>
    <t>Salary Accrual Journal (dynamic)</t>
  </si>
  <si>
    <t>All sections spill from the Calcs sheet — add staff or periods there and these resize automatically.</t>
  </si>
  <si>
    <t>Company</t>
  </si>
  <si>
    <t>Diff</t>
  </si>
  <si>
    <t>Income Statement leg</t>
  </si>
  <si>
    <t>Account Description</t>
  </si>
  <si>
    <t>Debit</t>
  </si>
  <si>
    <t>Credit</t>
  </si>
  <si>
    <t>Balance Sheet leg</t>
  </si>
  <si>
    <t>Combined journal (posting-ready)</t>
  </si>
  <si>
    <t>Balance check</t>
  </si>
  <si>
    <t>Total Debit</t>
  </si>
  <si>
    <t>Total Credit</t>
  </si>
  <si>
    <t>Difference</t>
  </si>
  <si>
    <t>Status</t>
  </si>
  <si>
    <t>Journal lines</t>
  </si>
  <si>
    <t>Pre-flight Validation Log</t>
  </si>
  <si>
    <t>All checks run before building Calcs and Journal sheets.</t>
  </si>
  <si>
    <t>Check</t>
  </si>
  <si>
    <t>Detail</t>
  </si>
  <si>
    <t>V1</t>
  </si>
  <si>
    <t>Required sheets present (Staff List, General Ledger, Bank Statement)</t>
  </si>
  <si>
    <t>PASS</t>
  </si>
  <si>
    <t>All three source sheets found</t>
  </si>
  <si>
    <t>V2</t>
  </si>
  <si>
    <t>Required tables present (tblStaffList, tblGeneralLedger, tblBankStatement)</t>
  </si>
  <si>
    <t>All three named tables found</t>
  </si>
  <si>
    <t>V3</t>
  </si>
  <si>
    <t>Required headers present in each table</t>
  </si>
  <si>
    <t>All required columns present</t>
  </si>
  <si>
    <t>V4</t>
  </si>
  <si>
    <t>Role uniqueness in Staff List</t>
  </si>
  <si>
    <t>3 unique roles: Finance AI Specialist, Finance Management Accountant, Finance Data Architect</t>
  </si>
  <si>
    <t>V5</t>
  </si>
  <si>
    <t>Personnel No uniqueness in Staff List</t>
  </si>
  <si>
    <t>3 unique personnel numbers: 46743, 85423, 78123</t>
  </si>
  <si>
    <t>V6</t>
  </si>
  <si>
    <t>Each Role appears in ≥1 GL salary Description</t>
  </si>
  <si>
    <t>All 3 roles matched in GL salary descriptions</t>
  </si>
  <si>
    <t>V7</t>
  </si>
  <si>
    <t>Each “FirstName Surname” appears in ≥1 Bank Text</t>
  </si>
  <si>
    <t>All 3 names matched in Bank Statement Text column</t>
  </si>
  <si>
    <t>V8</t>
  </si>
  <si>
    <t>GL salary periods and Bank periods cover same months</t>
  </si>
  <si>
    <t>Both cover Nov/25 and Dec/25 (note: Bank uses 'Mmm/yy' format — period labels in Calcs use mmm/yy to match)</t>
  </si>
  <si>
    <t>V9</t>
  </si>
  <si>
    <t>Bank Currency = GBP</t>
  </si>
  <si>
    <t>All 6 bank rows are GBP</t>
  </si>
  <si>
    <t>Run /salary-accruals-journal skill on existing workbook (Staff List, General Ledger, Bank Statement).</t>
  </si>
  <si>
    <t>Built Calcs, Journal, and Validation Log sheets per skill spec.</t>
  </si>
  <si>
    <t>Calcs uses spilled dynamic arrays (SORT/UNIQUE/FILTER/MAKEARRAY/LAMBDA) anchored at B4 (periods), A9 (staff), I9/Q9/Y9 (GL/Bank/Diff matrices). Period label format set to 'mmm/yy' to match Bank Statement (Nov/25, Dec/25), not 'mmm/yyyy' as in spec. Journal driver at A6 spills 6 rows; IS leg A102, BS leg A202, Combined A302, balance check at F401:F405. Pre-flight V1–V9 all PASS.</t>
  </si>
  <si>
    <t>BALANCED — Dr £21,000 / Cr £21,000, 12 lines (3 staff × 2 periods × 2 legs). Periods Nov/25 &amp; Dec/25.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</si>
</sst>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;[Red]\-#,##0.00;"/>
    <numFmt numFmtId="166" formatCode="m/d/yy"/>
    <numFmt numFmtId="167" formatCode="_(* #,##0_);_(* \(#,##0\);_(* &quot;-&quot;??_);_(@_)"/>
    <numFmt numFmtId="168" formatCode="\£#,##0;\(\£#,##0\);\-"/>
  </numFmts>
  <fonts count="10" x14ac:knownFonts="1">
    <font>
      <sz val="12"/>
      <color theme="1"/>
      <name val="Aptos Narrow"/>
      <family val="2"/>
      <scheme val="minor"/>
    </font>
    <font>
      <sz val="11"/>
      <name val="Calibri"/>
      <family val="2"/>
    </font>
    <font>
      <b/>
      <sz val="12"/>
      <color theme="0"/>
      <name val="Calibri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4"/>
      <color rgb="FF1F3864"/>
      <name val="Aptos Narrow"/>
      <family val="2"/>
      <scheme val="minor"/>
    </font>
    <font>
      <i/>
      <sz val="12"/>
      <color rgb="FF595959"/>
      <name val="Aptos Narrow"/>
      <family val="2"/>
      <scheme val="minor"/>
    </font>
    <font>
      <b/>
      <sz val="12"/>
      <color rgb="FF0061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1F386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6EFCE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4" tint="0.39997558519241921"/>
      </right>
      <top/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1">
    <xf numFmtId="0" fontId="0" fillId="0" borderId="0" xfId="0"/>
    <xf numFmtId="49" fontId="1" fillId="3" borderId="1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4" fillId="0" borderId="0" xfId="0" applyFont="1"/>
    <xf numFmtId="49" fontId="1" fillId="0" borderId="0" xfId="0" applyNumberFormat="1" applyFont="1" applyAlignment="1">
      <alignment horizontal="left"/>
    </xf>
    <xf numFmtId="49" fontId="2" fillId="2" borderId="3" xfId="0" applyNumberFormat="1" applyFont="1" applyFill="1" applyBorder="1"/>
    <xf numFmtId="0" fontId="2" fillId="2" borderId="3" xfId="0" applyFont="1" applyFill="1" applyBorder="1"/>
    <xf numFmtId="166" fontId="2" fillId="2" borderId="3" xfId="0" applyNumberFormat="1" applyFont="1" applyFill="1" applyBorder="1"/>
    <xf numFmtId="40" fontId="2" fillId="2" borderId="4" xfId="0" applyNumberFormat="1" applyFont="1" applyFill="1" applyBorder="1"/>
    <xf numFmtId="165" fontId="0" fillId="3" borderId="1" xfId="0" applyNumberFormat="1" applyFill="1" applyBorder="1"/>
    <xf numFmtId="165" fontId="0" fillId="0" borderId="1" xfId="0" applyNumberFormat="1" applyBorder="1"/>
    <xf numFmtId="40" fontId="2" fillId="2" borderId="3" xfId="0" applyNumberFormat="1" applyFont="1" applyFill="1" applyBorder="1"/>
    <xf numFmtId="49" fontId="1" fillId="3" borderId="5" xfId="0" applyNumberFormat="1" applyFont="1" applyFill="1" applyBorder="1" applyAlignment="1">
      <alignment horizontal="left"/>
    </xf>
    <xf numFmtId="165" fontId="0" fillId="0" borderId="5" xfId="0" applyNumberFormat="1" applyBorder="1"/>
    <xf numFmtId="167" fontId="0" fillId="0" borderId="2" xfId="1" applyNumberFormat="1" applyFont="1" applyBorder="1" applyAlignment="1">
      <alignment horizontal="left" indent="6"/>
    </xf>
    <xf numFmtId="167" fontId="0" fillId="0" borderId="0" xfId="1" applyNumberFormat="1" applyFont="1" applyAlignment="1">
      <alignment horizontal="left" indent="6"/>
    </xf>
    <xf numFmtId="167" fontId="0" fillId="0" borderId="2" xfId="1" applyNumberFormat="1" applyFont="1" applyBorder="1" applyAlignment="1">
      <alignment horizontal="left" indent="7"/>
    </xf>
    <xf numFmtId="0" fontId="6" fillId="4" borderId="0" xfId="0" applyFont="1" applyFill="1"/>
    <xf numFmtId="0" fontId="7" fillId="0" borderId="0" xfId="0" applyFont="1"/>
    <xf numFmtId="0" fontId="8" fillId="0" borderId="0" xfId="0" applyFont="1"/>
    <xf numFmtId="14" fontId="0" fillId="0" borderId="0" xfId="0" applyNumberFormat="1"/>
    <xf numFmtId="0" fontId="4" fillId="5" borderId="0" xfId="0" applyFont="1" applyFill="1"/>
    <xf numFmtId="168" fontId="0" fillId="0" borderId="0" xfId="0" applyNumberFormat="1"/>
    <xf numFmtId="0" fontId="6" fillId="4" borderId="0" xfId="0" applyNumberFormat="1" applyFont="1" applyFill="1"/>
    <xf numFmtId="0" fontId="4" fillId="5" borderId="0" xfId="0" applyNumberFormat="1" applyFont="1" applyFill="1"/>
    <xf numFmtId="0" fontId="4" fillId="0" borderId="0" xfId="0" applyNumberFormat="1" applyFont="1" applyAlignment="1">
      <alignment horizontal="right"/>
    </xf>
    <xf numFmtId="168" fontId="4" fillId="0" borderId="0" xfId="0" applyNumberFormat="1" applyFont="1"/>
    <xf numFmtId="0" fontId="4" fillId="0" borderId="0" xfId="0" applyNumberFormat="1" applyFont="1"/>
    <xf numFmtId="1" fontId="4" fillId="0" borderId="0" xfId="0" applyNumberFormat="1" applyFont="1"/>
    <xf numFmtId="0" fontId="7" fillId="0" borderId="0" xfId="0" applyNumberFormat="1" applyFont="1"/>
    <xf numFmtId="0" fontId="0" fillId="0" borderId="0" xfId="0" applyNumberFormat="1"/>
    <xf numFmtId="0" fontId="8" fillId="0" borderId="0" xfId="0" applyNumberFormat="1" applyFont="1"/>
    <xf numFmtId="0" fontId="6" fillId="4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9" fillId="6" borderId="0" xfId="0" applyFont="1" applyFill="1" applyAlignment="1">
      <alignment vertical="top" wrapText="1"/>
    </xf>
  </cellXfs>
  <cellStyles count="2">
    <cellStyle name="Comma" xfId="1" builtinId="3"/>
    <cellStyle name="Normal" xfId="0" builtinId="0"/>
  </cellStyles>
  <dxfs count="20"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numFmt numFmtId="165" formatCode="#,##0.00;[Red]\-#,##0.00;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m/d/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numFmt numFmtId="30" formatCode="@"/>
      <fill>
        <patternFill patternType="solid">
          <fgColor theme="4"/>
          <bgColor theme="4"/>
        </patternFill>
      </fill>
    </dxf>
    <dxf>
      <numFmt numFmtId="167" formatCode="_(* #,##0_);_(* \(#,##0\);_(* &quot;-&quot;??_);_(@_)"/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alignment horizontal="lef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7CA833-53D7-46AE-8C9A-6353475B2375}" name="tblGeneralLedger" displayName="tblGeneralLedger" ref="A1:G10" totalsRowShown="0" headerRowBorderDxfId="19" tableBorderDxfId="18">
  <autoFilter ref="A1:G10" xr:uid="{F97CA833-53D7-46AE-8C9A-6353475B2375}"/>
  <tableColumns count="7">
    <tableColumn id="1" xr3:uid="{71B0E62B-5A2F-4C8C-8007-0B18C919D3E2}" name="Account" dataDxfId="17"/>
    <tableColumn id="2" xr3:uid="{2B6BCCD5-F799-4C2C-955C-7EB36B46B808}" name="Description" dataDxfId="16"/>
    <tableColumn id="3" xr3:uid="{B132ADB6-6C38-4B6C-A24E-5CEC78C855B4}" name="Period" dataDxfId="15"/>
    <tableColumn id="4" xr3:uid="{5D0589FF-2EA2-4CC3-A6E9-3D2505DC4EFD}" name="Posted Date" dataDxfId="14"/>
    <tableColumn id="5" xr3:uid="{8956A441-A145-42EA-9552-550AC84E8B90}" name="Transaction Source "/>
    <tableColumn id="6" xr3:uid="{0649FCEA-0DE1-4185-9526-3D5BFC1F9A75}" name="##"/>
    <tableColumn id="7" xr3:uid="{03C0E820-6280-4916-87FE-52C3EB452F03}" name="Amount" dataDxfId="13" dataCellStyle="C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982909-F308-4695-801B-8D065F978BEC}" name="tblBankStatement" displayName="tblBankStatement" ref="A1:F7" totalsRowShown="0" headerRowDxfId="12" headerRowBorderDxfId="11" tableBorderDxfId="10" totalsRowBorderDxfId="9">
  <autoFilter ref="A1:F7" xr:uid="{B7982909-F308-4695-801B-8D065F978BEC}"/>
  <tableColumns count="6">
    <tableColumn id="1" xr3:uid="{D4473A6D-F5B6-483D-9764-F243A05641C0}" name="Bank Account" dataDxfId="8"/>
    <tableColumn id="2" xr3:uid="{E7E44989-0AEA-411F-87FA-BC5642213F5E}" name="Period" dataDxfId="7"/>
    <tableColumn id="3" xr3:uid="{AF5E0BB9-56CA-4C52-8EC7-D535CCF1F144}" name="Posted" dataDxfId="6">
      <calculatedColumnFormula>C1+30</calculatedColumnFormula>
    </tableColumn>
    <tableColumn id="4" xr3:uid="{1838B2C2-91D8-409E-AF0D-EB78017A1413}" name="Text" dataDxfId="5"/>
    <tableColumn id="5" xr3:uid="{14E643A7-FEDA-4B5B-88A4-4229F2A1E381}" name="Currency" dataDxfId="4"/>
    <tableColumn id="6" xr3:uid="{F8671753-450E-4DF4-9FE3-8FA398A12AC5}" name="Bank account amt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A6736B-5E60-4E6A-986D-B51A55E1F580}" name="tblStaffList" displayName="tblStaffList" ref="A1:F4" totalsRowShown="0" headerRowDxfId="2">
  <autoFilter ref="A1:F4" xr:uid="{B7A6736B-5E60-4E6A-986D-B51A55E1F580}"/>
  <tableColumns count="6">
    <tableColumn id="1" xr3:uid="{E0FB87D0-A627-4299-9CEF-97CBBC4120FF}" name="First Name"/>
    <tableColumn id="2" xr3:uid="{2F90AD0A-B018-4885-832B-0839494CD308}" name="Surname"/>
    <tableColumn id="3" xr3:uid="{5C3ED05A-09E1-43FA-AE5F-597E3ECB6861}" name="Personnel No"/>
    <tableColumn id="4" xr3:uid="{B74FDF66-F1C5-4CAC-A613-E186F6AE04A6}" name="Role"/>
    <tableColumn id="5" xr3:uid="{0913C090-B1FE-42AB-A29C-CC2B14354A90}" name="Company Code"/>
    <tableColumn id="6" xr3:uid="{6FF48F96-95D2-481A-AE6B-3DEA4E00A9DC}" name="Cost Cent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69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B356D69-A6AE-4240-B4BA-72C9ED99AC3A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916e8ebc-55a8-4b18-9533-1a62513e23ce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14375-2B3F-462F-AF8F-3DD10DD9F82B}">
  <dimension ref="A1:F2"/>
  <sheetViews>
    <sheetView workbookViewId="0"/>
  </sheetViews>
  <sheetFormatPr defaultRowHeight="15.75" x14ac:dyDescent="0.25"/>
  <cols>
    <col min="1" max="1" width="8.375" customWidth="1"/>
    <col min="2" max="2" width="13.375" customWidth="1"/>
    <col min="3" max="6" width="46.625" customWidth="1"/>
  </cols>
  <sheetData>
    <row r="1" spans="1:6" x14ac:dyDescent="0.25">
      <c r="A1" s="23" t="s">
        <v>41</v>
      </c>
      <c r="B1" s="23" t="s">
        <v>42</v>
      </c>
      <c r="C1" s="23" t="s">
        <v>43</v>
      </c>
      <c r="D1" s="23" t="s">
        <v>44</v>
      </c>
      <c r="E1" s="23" t="s">
        <v>45</v>
      </c>
      <c r="F1" s="23" t="s">
        <v>46</v>
      </c>
    </row>
    <row r="2" spans="1:6" x14ac:dyDescent="0.25">
      <c r="A2">
        <v>1</v>
      </c>
      <c r="B2" s="26">
        <v>46152</v>
      </c>
      <c r="C2" t="s">
        <v>104</v>
      </c>
      <c r="D2" t="s">
        <v>105</v>
      </c>
      <c r="E2" t="s">
        <v>106</v>
      </c>
      <c r="F2" t="s">
        <v>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67B7-C883-F446-A63D-1BDC48FFDA4D}">
  <dimension ref="A1:G10"/>
  <sheetViews>
    <sheetView workbookViewId="0">
      <selection activeCell="D6" sqref="D6"/>
    </sheetView>
  </sheetViews>
  <sheetFormatPr defaultColWidth="11" defaultRowHeight="15.75" x14ac:dyDescent="0.25"/>
  <cols>
    <col min="1" max="1" width="19" bestFit="1" customWidth="1"/>
    <col min="2" max="2" width="49.875" bestFit="1" customWidth="1"/>
    <col min="4" max="4" width="13.125" customWidth="1"/>
    <col min="5" max="5" width="19.625" customWidth="1"/>
    <col min="7" max="7" width="16.625" bestFit="1" customWidth="1"/>
  </cols>
  <sheetData>
    <row r="1" spans="1:7" x14ac:dyDescent="0.25">
      <c r="A1" s="11" t="s">
        <v>14</v>
      </c>
      <c r="B1" s="11" t="s">
        <v>15</v>
      </c>
      <c r="C1" s="12" t="s">
        <v>0</v>
      </c>
      <c r="D1" s="13" t="s">
        <v>1</v>
      </c>
      <c r="E1" s="11" t="s">
        <v>2</v>
      </c>
      <c r="F1" s="11" t="s">
        <v>3</v>
      </c>
      <c r="G1" s="14" t="s">
        <v>16</v>
      </c>
    </row>
    <row r="2" spans="1:7" x14ac:dyDescent="0.25">
      <c r="A2" s="2" t="s">
        <v>4</v>
      </c>
      <c r="B2" s="2" t="s">
        <v>24</v>
      </c>
      <c r="C2" s="5">
        <v>45962</v>
      </c>
      <c r="D2" s="6">
        <v>46002</v>
      </c>
      <c r="E2" s="2" t="s">
        <v>5</v>
      </c>
      <c r="F2" s="2">
        <v>1</v>
      </c>
      <c r="G2" s="20">
        <v>6000</v>
      </c>
    </row>
    <row r="3" spans="1:7" x14ac:dyDescent="0.25">
      <c r="A3" s="1" t="s">
        <v>4</v>
      </c>
      <c r="B3" s="2" t="s">
        <v>24</v>
      </c>
      <c r="C3" s="3">
        <v>45992</v>
      </c>
      <c r="D3" s="4">
        <v>46027</v>
      </c>
      <c r="E3" s="1" t="s">
        <v>5</v>
      </c>
      <c r="F3" s="1">
        <v>2</v>
      </c>
      <c r="G3" s="20">
        <v>6000</v>
      </c>
    </row>
    <row r="4" spans="1:7" x14ac:dyDescent="0.25">
      <c r="A4" s="1" t="s">
        <v>4</v>
      </c>
      <c r="B4" s="2" t="s">
        <v>34</v>
      </c>
      <c r="C4" s="5">
        <v>45962</v>
      </c>
      <c r="D4" s="6">
        <v>46002</v>
      </c>
      <c r="E4" s="1" t="s">
        <v>5</v>
      </c>
      <c r="F4" s="2">
        <v>3</v>
      </c>
      <c r="G4" s="20">
        <v>12000</v>
      </c>
    </row>
    <row r="5" spans="1:7" x14ac:dyDescent="0.25">
      <c r="A5" s="1" t="s">
        <v>4</v>
      </c>
      <c r="B5" s="2" t="s">
        <v>34</v>
      </c>
      <c r="C5" s="3">
        <v>45992</v>
      </c>
      <c r="D5" s="4">
        <v>46027</v>
      </c>
      <c r="E5" s="1" t="s">
        <v>5</v>
      </c>
      <c r="F5" s="1">
        <v>4</v>
      </c>
      <c r="G5" s="22">
        <v>12000</v>
      </c>
    </row>
    <row r="6" spans="1:7" x14ac:dyDescent="0.25">
      <c r="A6" s="2" t="s">
        <v>4</v>
      </c>
      <c r="B6" s="2" t="s">
        <v>26</v>
      </c>
      <c r="C6" s="5">
        <v>45962</v>
      </c>
      <c r="D6" s="4">
        <v>46027</v>
      </c>
      <c r="E6" s="2" t="s">
        <v>5</v>
      </c>
      <c r="F6" s="2">
        <v>5</v>
      </c>
      <c r="G6" s="20">
        <v>5000</v>
      </c>
    </row>
    <row r="7" spans="1:7" x14ac:dyDescent="0.25">
      <c r="A7" s="1" t="s">
        <v>4</v>
      </c>
      <c r="B7" s="2" t="s">
        <v>26</v>
      </c>
      <c r="C7" s="3">
        <v>45992</v>
      </c>
      <c r="D7" s="4">
        <v>45891</v>
      </c>
      <c r="E7" s="1" t="s">
        <v>5</v>
      </c>
      <c r="F7" s="1">
        <v>6</v>
      </c>
      <c r="G7" s="20">
        <v>5000</v>
      </c>
    </row>
    <row r="8" spans="1:7" x14ac:dyDescent="0.25">
      <c r="A8" s="10" t="s">
        <v>19</v>
      </c>
      <c r="B8" s="10" t="s">
        <v>20</v>
      </c>
      <c r="C8" s="5">
        <v>45839</v>
      </c>
      <c r="D8" s="6">
        <v>45853</v>
      </c>
      <c r="E8" s="2" t="s">
        <v>5</v>
      </c>
      <c r="F8" s="1">
        <v>8</v>
      </c>
      <c r="G8" s="21">
        <v>5000</v>
      </c>
    </row>
    <row r="9" spans="1:7" x14ac:dyDescent="0.25">
      <c r="A9" s="10" t="s">
        <v>19</v>
      </c>
      <c r="B9" s="10" t="s">
        <v>20</v>
      </c>
      <c r="C9" s="3">
        <v>45870</v>
      </c>
      <c r="D9" s="4">
        <v>45891</v>
      </c>
      <c r="E9" s="1" t="s">
        <v>5</v>
      </c>
      <c r="F9" s="2">
        <v>9</v>
      </c>
      <c r="G9" s="21">
        <v>5000</v>
      </c>
    </row>
    <row r="10" spans="1:7" x14ac:dyDescent="0.25">
      <c r="A10" s="10" t="s">
        <v>19</v>
      </c>
      <c r="B10" s="10" t="s">
        <v>20</v>
      </c>
      <c r="C10" s="5">
        <v>45901</v>
      </c>
      <c r="D10" s="6">
        <v>45915</v>
      </c>
      <c r="E10" s="2" t="s">
        <v>5</v>
      </c>
      <c r="F10" s="1">
        <v>10</v>
      </c>
      <c r="G10" s="21">
        <v>5000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3E70B-E114-DB47-9B54-E2155041469A}">
  <dimension ref="A1:F7"/>
  <sheetViews>
    <sheetView topLeftCell="D1" workbookViewId="0">
      <selection activeCell="F8" sqref="F8"/>
    </sheetView>
  </sheetViews>
  <sheetFormatPr defaultColWidth="11" defaultRowHeight="15.75" x14ac:dyDescent="0.25"/>
  <cols>
    <col min="1" max="1" width="26.375" bestFit="1" customWidth="1"/>
    <col min="2" max="2" width="10.5" bestFit="1" customWidth="1"/>
    <col min="3" max="3" width="8.625" customWidth="1"/>
    <col min="4" max="4" width="114.125" bestFit="1" customWidth="1"/>
    <col min="5" max="5" width="10.375" customWidth="1"/>
    <col min="6" max="6" width="18.125" customWidth="1"/>
  </cols>
  <sheetData>
    <row r="1" spans="1:6" x14ac:dyDescent="0.25">
      <c r="A1" s="11" t="s">
        <v>6</v>
      </c>
      <c r="B1" s="11" t="s">
        <v>0</v>
      </c>
      <c r="C1" s="13" t="s">
        <v>7</v>
      </c>
      <c r="D1" s="11" t="s">
        <v>8</v>
      </c>
      <c r="E1" s="11" t="s">
        <v>9</v>
      </c>
      <c r="F1" s="17" t="s">
        <v>10</v>
      </c>
    </row>
    <row r="2" spans="1:6" x14ac:dyDescent="0.25">
      <c r="A2" s="1" t="s">
        <v>11</v>
      </c>
      <c r="B2" s="2" t="s">
        <v>38</v>
      </c>
      <c r="C2" s="7">
        <v>45991</v>
      </c>
      <c r="D2" s="2" t="s">
        <v>28</v>
      </c>
      <c r="E2" s="1" t="s">
        <v>12</v>
      </c>
      <c r="F2" s="15">
        <v>8000</v>
      </c>
    </row>
    <row r="3" spans="1:6" x14ac:dyDescent="0.25">
      <c r="A3" s="1" t="s">
        <v>11</v>
      </c>
      <c r="B3" s="2" t="s">
        <v>39</v>
      </c>
      <c r="C3" s="8">
        <v>46022</v>
      </c>
      <c r="D3" s="2" t="s">
        <v>28</v>
      </c>
      <c r="E3" s="1" t="s">
        <v>12</v>
      </c>
      <c r="F3" s="16">
        <v>10000</v>
      </c>
    </row>
    <row r="4" spans="1:6" x14ac:dyDescent="0.25">
      <c r="A4" s="1" t="s">
        <v>11</v>
      </c>
      <c r="B4" s="2" t="s">
        <v>38</v>
      </c>
      <c r="C4" s="7">
        <v>45991</v>
      </c>
      <c r="D4" s="2" t="s">
        <v>29</v>
      </c>
      <c r="E4" s="1" t="s">
        <v>12</v>
      </c>
      <c r="F4" s="15">
        <v>5000</v>
      </c>
    </row>
    <row r="5" spans="1:6" x14ac:dyDescent="0.25">
      <c r="A5" s="1" t="s">
        <v>11</v>
      </c>
      <c r="B5" s="2" t="s">
        <v>39</v>
      </c>
      <c r="C5" s="8">
        <v>46022</v>
      </c>
      <c r="D5" s="2" t="s">
        <v>29</v>
      </c>
      <c r="E5" s="1" t="s">
        <v>12</v>
      </c>
      <c r="F5" s="16">
        <v>7000</v>
      </c>
    </row>
    <row r="6" spans="1:6" x14ac:dyDescent="0.25">
      <c r="A6" s="1" t="s">
        <v>11</v>
      </c>
      <c r="B6" s="2" t="s">
        <v>38</v>
      </c>
      <c r="C6" s="7">
        <v>45991</v>
      </c>
      <c r="D6" s="2" t="s">
        <v>40</v>
      </c>
      <c r="E6" s="1" t="s">
        <v>12</v>
      </c>
      <c r="F6" s="15">
        <v>3000</v>
      </c>
    </row>
    <row r="7" spans="1:6" x14ac:dyDescent="0.25">
      <c r="A7" s="18" t="s">
        <v>11</v>
      </c>
      <c r="B7" s="2" t="s">
        <v>39</v>
      </c>
      <c r="C7" s="8">
        <v>46022</v>
      </c>
      <c r="D7" s="2" t="s">
        <v>40</v>
      </c>
      <c r="E7" s="18" t="s">
        <v>12</v>
      </c>
      <c r="F7" s="19">
        <v>8000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807D7-3258-4423-8EB2-3A5AEBE44BA7}">
  <dimension ref="A1:F4"/>
  <sheetViews>
    <sheetView workbookViewId="0">
      <selection activeCell="F5" sqref="F5"/>
    </sheetView>
  </sheetViews>
  <sheetFormatPr defaultColWidth="8.875" defaultRowHeight="15.75" x14ac:dyDescent="0.25"/>
  <cols>
    <col min="1" max="1" width="11.625" customWidth="1"/>
    <col min="2" max="2" width="10.125" customWidth="1"/>
    <col min="3" max="3" width="13.5" customWidth="1"/>
    <col min="4" max="4" width="17.125" bestFit="1" customWidth="1"/>
    <col min="5" max="5" width="15.125" customWidth="1"/>
    <col min="6" max="6" width="12.375" customWidth="1"/>
  </cols>
  <sheetData>
    <row r="1" spans="1:6" x14ac:dyDescent="0.25">
      <c r="A1" s="9" t="s">
        <v>22</v>
      </c>
      <c r="B1" s="9" t="s">
        <v>23</v>
      </c>
      <c r="C1" s="9" t="s">
        <v>21</v>
      </c>
      <c r="D1" s="9" t="s">
        <v>17</v>
      </c>
      <c r="E1" s="9" t="s">
        <v>18</v>
      </c>
      <c r="F1" s="9" t="s">
        <v>13</v>
      </c>
    </row>
    <row r="2" spans="1:6" x14ac:dyDescent="0.25">
      <c r="A2" t="s">
        <v>30</v>
      </c>
      <c r="B2" t="s">
        <v>31</v>
      </c>
      <c r="C2">
        <v>46743</v>
      </c>
      <c r="D2" t="s">
        <v>25</v>
      </c>
      <c r="E2">
        <v>1011</v>
      </c>
      <c r="F2">
        <v>14020</v>
      </c>
    </row>
    <row r="3" spans="1:6" x14ac:dyDescent="0.25">
      <c r="A3" t="s">
        <v>32</v>
      </c>
      <c r="B3" t="s">
        <v>33</v>
      </c>
      <c r="C3">
        <v>85423</v>
      </c>
      <c r="D3" t="s">
        <v>27</v>
      </c>
      <c r="E3">
        <v>2056</v>
      </c>
      <c r="F3">
        <v>13010</v>
      </c>
    </row>
    <row r="4" spans="1:6" x14ac:dyDescent="0.25">
      <c r="A4" t="s">
        <v>35</v>
      </c>
      <c r="B4" t="s">
        <v>36</v>
      </c>
      <c r="C4">
        <v>78123</v>
      </c>
      <c r="D4" t="s">
        <v>37</v>
      </c>
      <c r="E4">
        <v>5765</v>
      </c>
      <c r="F4">
        <v>89709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C0B8-F461-4A5F-98DD-EFFB42035614}">
  <dimension ref="A1:Z11"/>
  <sheetViews>
    <sheetView topLeftCell="B1" zoomScale="70" zoomScaleNormal="70" workbookViewId="0">
      <selection activeCell="K9" sqref="K9"/>
    </sheetView>
  </sheetViews>
  <sheetFormatPr defaultRowHeight="15.75" x14ac:dyDescent="0.25"/>
  <cols>
    <col min="1" max="1" width="52.625" bestFit="1" customWidth="1"/>
    <col min="2" max="2" width="10.125" bestFit="1" customWidth="1"/>
    <col min="3" max="3" width="11.625" bestFit="1" customWidth="1"/>
    <col min="4" max="4" width="28.625" bestFit="1" customWidth="1"/>
    <col min="5" max="5" width="13.375" bestFit="1" customWidth="1"/>
    <col min="6" max="6" width="10.5" bestFit="1" customWidth="1"/>
    <col min="7" max="7" width="10.75" bestFit="1" customWidth="1"/>
    <col min="9" max="9" width="22.25" bestFit="1" customWidth="1"/>
    <col min="10" max="10" width="6.75" bestFit="1" customWidth="1"/>
    <col min="17" max="17" width="19.75" bestFit="1" customWidth="1"/>
    <col min="18" max="18" width="6.75" bestFit="1" customWidth="1"/>
    <col min="25" max="25" width="19.375" bestFit="1" customWidth="1"/>
    <col min="26" max="26" width="6.75" bestFit="1" customWidth="1"/>
  </cols>
  <sheetData>
    <row r="1" spans="1:26" ht="18.75" x14ac:dyDescent="0.3">
      <c r="A1" s="24" t="s">
        <v>47</v>
      </c>
    </row>
    <row r="2" spans="1:26" x14ac:dyDescent="0.25">
      <c r="A2" s="25" t="s">
        <v>48</v>
      </c>
    </row>
    <row r="4" spans="1:26" x14ac:dyDescent="0.25">
      <c r="A4" s="9" t="s">
        <v>49</v>
      </c>
      <c r="B4" s="26" cm="1">
        <f t="array" ref="B4:C4">TRANSPOSE(_xlfn._xlws.SORT(_xlfn.UNIQUE(_xlfn._xlws.FILTER(tblGeneralLedger[Period],LEFT(tblGeneralLedger[Account],4)="5000"))))</f>
        <v>45962</v>
      </c>
      <c r="C4">
        <v>45992</v>
      </c>
    </row>
    <row r="5" spans="1:26" x14ac:dyDescent="0.25">
      <c r="A5" s="9" t="s">
        <v>50</v>
      </c>
      <c r="B5" t="str" cm="1">
        <f t="array" ref="B5:C5">TEXT(_xlfn.ANCHORARRAY(B4),"mmm/yy")</f>
        <v>Nov/25</v>
      </c>
      <c r="C5" t="str">
        <v>Dec/25</v>
      </c>
    </row>
    <row r="6" spans="1:26" x14ac:dyDescent="0.25">
      <c r="A6" s="9" t="s">
        <v>51</v>
      </c>
      <c r="B6">
        <f>COUNTA(_xlfn.ANCHORARRAY(B4))</f>
        <v>2</v>
      </c>
    </row>
    <row r="7" spans="1:26" x14ac:dyDescent="0.25">
      <c r="I7" s="23" t="s">
        <v>53</v>
      </c>
      <c r="Q7" s="23" t="s">
        <v>54</v>
      </c>
      <c r="Y7" s="23" t="s">
        <v>55</v>
      </c>
    </row>
    <row r="8" spans="1:26" x14ac:dyDescent="0.25">
      <c r="A8" s="23" t="s">
        <v>22</v>
      </c>
      <c r="B8" s="23" t="s">
        <v>23</v>
      </c>
      <c r="C8" s="23" t="s">
        <v>21</v>
      </c>
      <c r="D8" s="23" t="s">
        <v>17</v>
      </c>
      <c r="E8" s="23" t="s">
        <v>18</v>
      </c>
      <c r="F8" s="23" t="s">
        <v>13</v>
      </c>
      <c r="G8" s="23" t="s">
        <v>52</v>
      </c>
      <c r="I8" s="27" t="str" cm="1">
        <f t="array" ref="I8:J8">_xlfn.ANCHORARRAY($B$5)</f>
        <v>Nov/25</v>
      </c>
      <c r="J8" t="str">
        <v>Dec/25</v>
      </c>
      <c r="Q8" s="27" t="str" cm="1">
        <f t="array" ref="Q8:R8">_xlfn.ANCHORARRAY($B$5)</f>
        <v>Nov/25</v>
      </c>
      <c r="R8" t="str">
        <v>Dec/25</v>
      </c>
      <c r="Y8" s="27" t="str" cm="1">
        <f t="array" ref="Y8:Z8">_xlfn.ANCHORARRAY($B$5)</f>
        <v>Nov/25</v>
      </c>
      <c r="Z8" t="str">
        <v>Dec/25</v>
      </c>
    </row>
    <row r="9" spans="1:26" ht="63" customHeight="1" x14ac:dyDescent="0.25">
      <c r="A9" t="str" cm="1">
        <f t="array" ref="A9:A11">tblStaffList[First Name]</f>
        <v>Bill</v>
      </c>
      <c r="B9" t="str" cm="1">
        <f t="array" ref="B9:B11">tblStaffList[Surname]</f>
        <v>Adams</v>
      </c>
      <c r="C9" cm="1">
        <f t="array" ref="C9:C11">tblStaffList[Personnel No]</f>
        <v>46743</v>
      </c>
      <c r="D9" t="str" cm="1">
        <f t="array" ref="D9:D11">tblStaffList[Role]</f>
        <v>Finance AI Specialist</v>
      </c>
      <c r="E9" cm="1">
        <f t="array" ref="E9:E11">tblStaffList[Company Code]</f>
        <v>1011</v>
      </c>
      <c r="F9" cm="1">
        <f t="array" ref="F9:F11">tblStaffList[Cost Centre]</f>
        <v>14020</v>
      </c>
      <c r="G9" t="str" cm="1">
        <f t="array" ref="G9:G11">_xlfn.ANCHORARRAY(E9)&amp;"_"&amp;_xlfn.ANCHORARRAY(F9)</f>
        <v>1011_14020</v>
      </c>
      <c r="I9" s="28" cm="1">
        <f t="array" ref="I9:J11">_xlfn.MAKEARRAY(ROWS(_xlfn.ANCHORARRAY($D9)),COLUMNS(_xlfn.ANCHORARRAY($B$4)),_xlfn.LAMBDA(_xlpm.r,_xlpm.c,SUMIFS(tblGeneralLedger[Amount],tblGeneralLedger[Period],INDEX(_xlfn.ANCHORARRAY($B$4),_xlpm.c),tblGeneralLedger[Description],"*"&amp;INDEX(_xlfn.ANCHORARRAY($D9),_xlpm.r)&amp;"*")))</f>
        <v>6000</v>
      </c>
      <c r="J9">
        <v>6000</v>
      </c>
      <c r="Q9" s="28" cm="1">
        <f t="array" ref="Q9:R11">_xlfn.MAKEARRAY(ROWS(_xlfn.ANCHORARRAY($A9)),COLUMNS(_xlfn.ANCHORARRAY($B$5)),_xlfn.LAMBDA(_xlpm.r,_xlpm.c,SUMIFS(tblBankStatement[Bank account amt],tblBankStatement[Period],INDEX(_xlfn.ANCHORARRAY($B$5),_xlpm.c),tblBankStatement[Text],"*"&amp;INDEX(_xlfn.ANCHORARRAY($A9),_xlpm.r)&amp;" "&amp;INDEX(_xlfn.ANCHORARRAY($B9),_xlpm.r)&amp;"*")))</f>
        <v>8000</v>
      </c>
      <c r="R9">
        <v>10000</v>
      </c>
      <c r="Y9" s="28" cm="1">
        <f t="array" ref="Y9:Z11">_xlfn.ANCHORARRAY(I9)-_xlfn.ANCHORARRAY(Q9)</f>
        <v>-2000</v>
      </c>
      <c r="Z9">
        <v>-4000</v>
      </c>
    </row>
    <row r="10" spans="1:26" x14ac:dyDescent="0.25">
      <c r="A10" t="str">
        <v>Nazir</v>
      </c>
      <c r="B10" t="str">
        <v>Husain</v>
      </c>
      <c r="C10">
        <v>85423</v>
      </c>
      <c r="D10" t="str">
        <v>Finance Management Accountant</v>
      </c>
      <c r="E10">
        <v>2056</v>
      </c>
      <c r="F10">
        <v>13010</v>
      </c>
      <c r="G10" t="str">
        <v>2056_13010</v>
      </c>
      <c r="I10">
        <v>5000</v>
      </c>
      <c r="J10">
        <v>5000</v>
      </c>
      <c r="Q10">
        <v>5000</v>
      </c>
      <c r="R10">
        <v>7000</v>
      </c>
      <c r="Y10">
        <v>0</v>
      </c>
      <c r="Z10">
        <v>-2000</v>
      </c>
    </row>
    <row r="11" spans="1:26" ht="30.75" customHeight="1" x14ac:dyDescent="0.25">
      <c r="A11" t="str">
        <v>Malcom</v>
      </c>
      <c r="B11" t="str">
        <v>Carr</v>
      </c>
      <c r="C11">
        <v>78123</v>
      </c>
      <c r="D11" t="str">
        <v>Finance Data Architect</v>
      </c>
      <c r="E11">
        <v>5765</v>
      </c>
      <c r="F11">
        <v>89709</v>
      </c>
      <c r="G11" t="str">
        <v>5765_89709</v>
      </c>
      <c r="I11">
        <v>12000</v>
      </c>
      <c r="J11">
        <v>12000</v>
      </c>
      <c r="Q11">
        <v>3000</v>
      </c>
      <c r="R11">
        <v>8000</v>
      </c>
      <c r="Y11">
        <v>9000</v>
      </c>
      <c r="Z11">
        <v>4000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D132-E769-481B-848F-C1E2BF3642E2}">
  <dimension ref="A1:H405"/>
  <sheetViews>
    <sheetView tabSelected="1" topLeftCell="B1" zoomScale="85" zoomScaleNormal="85" workbookViewId="0">
      <pane ySplit="5" topLeftCell="A195" activePane="bottomLeft" state="frozen"/>
      <selection pane="bottomLeft" activeCell="F106" sqref="F106"/>
    </sheetView>
  </sheetViews>
  <sheetFormatPr defaultRowHeight="15.75" x14ac:dyDescent="0.25"/>
  <cols>
    <col min="1" max="1" width="15" style="26" customWidth="1"/>
    <col min="2" max="3" width="15" customWidth="1"/>
    <col min="4" max="4" width="12.5" customWidth="1"/>
    <col min="5" max="5" width="36.625" customWidth="1"/>
    <col min="6" max="8" width="15.875" style="28" customWidth="1"/>
  </cols>
  <sheetData>
    <row r="1" spans="1:8" s="36" customFormat="1" ht="18.75" x14ac:dyDescent="0.3">
      <c r="A1" s="35" t="s">
        <v>56</v>
      </c>
    </row>
    <row r="2" spans="1:8" s="36" customFormat="1" x14ac:dyDescent="0.25">
      <c r="A2" s="37" t="s">
        <v>57</v>
      </c>
    </row>
    <row r="5" spans="1:8" s="36" customFormat="1" x14ac:dyDescent="0.25">
      <c r="A5" s="29" t="s">
        <v>0</v>
      </c>
      <c r="B5" s="29" t="s">
        <v>58</v>
      </c>
      <c r="C5" s="29" t="s">
        <v>13</v>
      </c>
      <c r="D5" s="29" t="s">
        <v>21</v>
      </c>
      <c r="E5" s="29" t="s">
        <v>17</v>
      </c>
      <c r="F5" s="29" t="s">
        <v>22</v>
      </c>
      <c r="G5" s="29" t="s">
        <v>23</v>
      </c>
      <c r="H5" s="29" t="s">
        <v>59</v>
      </c>
    </row>
    <row r="6" spans="1:8" x14ac:dyDescent="0.25">
      <c r="A6" s="26" cm="1">
        <f t="array" ref="A6:A11">_xlfn.TOCOL(_xlfn.MAP(_xlfn.ANCHORARRAY(Calcs!$B$4),_xlfn.LAMBDA(_xlpm.p,EOMONTH(_xlpm.p,0)))+0*_xlfn.SEQUENCE(ROWS(_xlfn.ANCHORARRAY(Calcs!$A9))))</f>
        <v>45991</v>
      </c>
      <c r="B6" cm="1">
        <f t="array" ref="B6:B11">_xlfn.TOCOL(_xlfn.ANCHORARRAY(Calcs!$E9)+0*_xlfn.SEQUENCE(1,COLUMNS(_xlfn.ANCHORARRAY(Calcs!$B$4))))</f>
        <v>1011</v>
      </c>
      <c r="C6" cm="1">
        <f t="array" ref="C6:C11">_xlfn.TOCOL(_xlfn.ANCHORARRAY(Calcs!$F9)+0*_xlfn.SEQUENCE(1,COLUMNS(_xlfn.ANCHORARRAY(Calcs!$B$4))))</f>
        <v>14020</v>
      </c>
      <c r="D6" cm="1">
        <f t="array" ref="D6:D11">_xlfn.TOCOL(_xlfn.ANCHORARRAY(Calcs!$C9)+0*_xlfn.SEQUENCE(1,COLUMNS(_xlfn.ANCHORARRAY(Calcs!$B$4))))</f>
        <v>46743</v>
      </c>
      <c r="E6" t="str" cm="1">
        <f t="array" ref="E6:E11">_xlfn.TOCOL(IF(_xlfn.SEQUENCE(1,COLUMNS(_xlfn.ANCHORARRAY(Calcs!$B$4)),1,0)&gt;=0,_xlfn.ANCHORARRAY(Calcs!$D9)))</f>
        <v>Finance AI Specialist</v>
      </c>
      <c r="F6" s="28" t="str" cm="1">
        <f t="array" ref="F6:F11">_xlfn.TOCOL(IF(_xlfn.SEQUENCE(1,COLUMNS(_xlfn.ANCHORARRAY(Calcs!$B$4)),1,0)&gt;=0,_xlfn.ANCHORARRAY(Calcs!$A9)))</f>
        <v>Bill</v>
      </c>
      <c r="G6" s="28" t="str" cm="1">
        <f t="array" ref="G6:G11">_xlfn.TOCOL(IF(_xlfn.SEQUENCE(1,COLUMNS(_xlfn.ANCHORARRAY(Calcs!$B$4)),1,0)&gt;=0,_xlfn.ANCHORARRAY(Calcs!$B9)))</f>
        <v>Adams</v>
      </c>
      <c r="H6" s="28" cm="1">
        <f t="array" ref="H6:H11">_xlfn.TOCOL(_xlfn.ANCHORARRAY(Calcs!Y9))</f>
        <v>-2000</v>
      </c>
    </row>
    <row r="7" spans="1:8" x14ac:dyDescent="0.25">
      <c r="A7" s="26">
        <v>46022</v>
      </c>
      <c r="B7">
        <v>1011</v>
      </c>
      <c r="C7">
        <v>14020</v>
      </c>
      <c r="D7">
        <v>46743</v>
      </c>
      <c r="E7" t="str">
        <v>Finance AI Specialist</v>
      </c>
      <c r="F7" s="28" t="str">
        <v>Bill</v>
      </c>
      <c r="G7" s="28" t="str">
        <v>Adams</v>
      </c>
      <c r="H7" s="28">
        <v>-4000</v>
      </c>
    </row>
    <row r="8" spans="1:8" x14ac:dyDescent="0.25">
      <c r="A8" s="26">
        <v>45991</v>
      </c>
      <c r="B8">
        <v>2056</v>
      </c>
      <c r="C8">
        <v>13010</v>
      </c>
      <c r="D8">
        <v>85423</v>
      </c>
      <c r="E8" t="str">
        <v>Finance Management Accountant</v>
      </c>
      <c r="F8" s="28" t="str">
        <v>Nazir</v>
      </c>
      <c r="G8" s="28" t="str">
        <v>Husain</v>
      </c>
      <c r="H8" s="28">
        <v>0</v>
      </c>
    </row>
    <row r="9" spans="1:8" x14ac:dyDescent="0.25">
      <c r="A9" s="26">
        <v>46022</v>
      </c>
      <c r="B9">
        <v>2056</v>
      </c>
      <c r="C9">
        <v>13010</v>
      </c>
      <c r="D9">
        <v>85423</v>
      </c>
      <c r="E9" t="str">
        <v>Finance Management Accountant</v>
      </c>
      <c r="F9" s="28" t="str">
        <v>Nazir</v>
      </c>
      <c r="G9" s="28" t="str">
        <v>Husain</v>
      </c>
      <c r="H9" s="28">
        <v>-2000</v>
      </c>
    </row>
    <row r="10" spans="1:8" x14ac:dyDescent="0.25">
      <c r="A10" s="26">
        <v>45991</v>
      </c>
      <c r="B10">
        <v>5765</v>
      </c>
      <c r="C10">
        <v>89709</v>
      </c>
      <c r="D10">
        <v>78123</v>
      </c>
      <c r="E10" t="str">
        <v>Finance Data Architect</v>
      </c>
      <c r="F10" s="28" t="str">
        <v>Malcom</v>
      </c>
      <c r="G10" s="28" t="str">
        <v>Carr</v>
      </c>
      <c r="H10" s="28">
        <v>9000</v>
      </c>
    </row>
    <row r="11" spans="1:8" x14ac:dyDescent="0.25">
      <c r="A11" s="26">
        <v>46022</v>
      </c>
      <c r="B11">
        <v>5765</v>
      </c>
      <c r="C11">
        <v>89709</v>
      </c>
      <c r="D11">
        <v>78123</v>
      </c>
      <c r="E11" t="str">
        <v>Finance Data Architect</v>
      </c>
      <c r="F11" s="28" t="str">
        <v>Malcom</v>
      </c>
      <c r="G11" s="28" t="str">
        <v>Carr</v>
      </c>
      <c r="H11" s="28">
        <v>4000</v>
      </c>
    </row>
    <row r="100" spans="1:7" s="36" customFormat="1" x14ac:dyDescent="0.25">
      <c r="A100" s="29" t="s">
        <v>60</v>
      </c>
    </row>
    <row r="101" spans="1:7" s="36" customFormat="1" x14ac:dyDescent="0.25">
      <c r="A101" s="30" t="s">
        <v>0</v>
      </c>
      <c r="B101" s="30" t="s">
        <v>58</v>
      </c>
      <c r="C101" s="30" t="s">
        <v>13</v>
      </c>
      <c r="D101" s="30" t="s">
        <v>14</v>
      </c>
      <c r="E101" s="30" t="s">
        <v>61</v>
      </c>
      <c r="F101" s="30" t="s">
        <v>62</v>
      </c>
      <c r="G101" s="30" t="s">
        <v>63</v>
      </c>
    </row>
    <row r="102" spans="1:7" x14ac:dyDescent="0.25">
      <c r="A102" s="26" cm="1">
        <f t="array" ref="A102:G107">_xlfn.HSTACK(_xlfn.ANCHORARRAY($A6),_xlfn.ANCHORARRAY($B6),_xlfn.ANCHORARRAY($C6),IF(_xlfn.ANCHORARRAY($H6)&gt;=0,30910,20100),IF(_xlfn.ANCHORARRAY($H6)&gt;=0,"Accrued Salary Cost","Salary Overpayment Credit"),IF(_xlfn.ANCHORARRAY($H6)&gt;0,_xlfn.ANCHORARRAY($H6),0),IF(_xlfn.ANCHORARRAY($H6)&lt;0,-_xlfn.ANCHORARRAY($H6),0))</f>
        <v>45991</v>
      </c>
      <c r="B102">
        <v>1011</v>
      </c>
      <c r="C102">
        <v>14020</v>
      </c>
      <c r="D102">
        <v>20100</v>
      </c>
      <c r="E102" t="str">
        <v>Salary Overpayment Credit</v>
      </c>
      <c r="F102" s="28">
        <v>0</v>
      </c>
      <c r="G102" s="28">
        <v>2000</v>
      </c>
    </row>
    <row r="103" spans="1:7" x14ac:dyDescent="0.25">
      <c r="A103" s="26">
        <v>46022</v>
      </c>
      <c r="B103">
        <v>1011</v>
      </c>
      <c r="C103">
        <v>14020</v>
      </c>
      <c r="D103">
        <v>20100</v>
      </c>
      <c r="E103" t="str">
        <v>Salary Overpayment Credit</v>
      </c>
      <c r="F103" s="28">
        <v>0</v>
      </c>
      <c r="G103" s="28">
        <v>4000</v>
      </c>
    </row>
    <row r="104" spans="1:7" x14ac:dyDescent="0.25">
      <c r="A104" s="26">
        <v>45991</v>
      </c>
      <c r="B104">
        <v>2056</v>
      </c>
      <c r="C104">
        <v>13010</v>
      </c>
      <c r="D104">
        <v>30910</v>
      </c>
      <c r="E104" t="str">
        <v>Accrued Salary Cost</v>
      </c>
      <c r="F104" s="28">
        <v>0</v>
      </c>
      <c r="G104" s="28">
        <v>0</v>
      </c>
    </row>
    <row r="105" spans="1:7" x14ac:dyDescent="0.25">
      <c r="A105" s="26">
        <v>46022</v>
      </c>
      <c r="B105">
        <v>2056</v>
      </c>
      <c r="C105">
        <v>13010</v>
      </c>
      <c r="D105">
        <v>20100</v>
      </c>
      <c r="E105" t="str">
        <v>Salary Overpayment Credit</v>
      </c>
      <c r="F105" s="28">
        <v>0</v>
      </c>
      <c r="G105" s="28">
        <v>2000</v>
      </c>
    </row>
    <row r="106" spans="1:7" x14ac:dyDescent="0.25">
      <c r="A106" s="26">
        <v>45991</v>
      </c>
      <c r="B106">
        <v>5765</v>
      </c>
      <c r="C106">
        <v>89709</v>
      </c>
      <c r="D106">
        <v>30910</v>
      </c>
      <c r="E106" t="str">
        <v>Accrued Salary Cost</v>
      </c>
      <c r="F106" s="28">
        <v>9000</v>
      </c>
      <c r="G106" s="28">
        <v>0</v>
      </c>
    </row>
    <row r="107" spans="1:7" x14ac:dyDescent="0.25">
      <c r="A107" s="26">
        <v>46022</v>
      </c>
      <c r="B107">
        <v>5765</v>
      </c>
      <c r="C107">
        <v>89709</v>
      </c>
      <c r="D107">
        <v>30910</v>
      </c>
      <c r="E107" t="str">
        <v>Accrued Salary Cost</v>
      </c>
      <c r="F107" s="28">
        <v>4000</v>
      </c>
      <c r="G107" s="28">
        <v>0</v>
      </c>
    </row>
    <row r="200" spans="1:7" s="36" customFormat="1" x14ac:dyDescent="0.25">
      <c r="A200" s="29" t="s">
        <v>64</v>
      </c>
    </row>
    <row r="201" spans="1:7" s="36" customFormat="1" x14ac:dyDescent="0.25">
      <c r="A201" s="30" t="s">
        <v>0</v>
      </c>
      <c r="B201" s="30" t="s">
        <v>58</v>
      </c>
      <c r="C201" s="30" t="s">
        <v>13</v>
      </c>
      <c r="D201" s="30" t="s">
        <v>14</v>
      </c>
      <c r="E201" s="30" t="s">
        <v>61</v>
      </c>
      <c r="F201" s="30" t="s">
        <v>62</v>
      </c>
      <c r="G201" s="30" t="s">
        <v>63</v>
      </c>
    </row>
    <row r="202" spans="1:7" x14ac:dyDescent="0.25">
      <c r="A202" s="26" cm="1">
        <f t="array" ref="A202:G207">_xlfn.HSTACK(_xlfn.ANCHORARRAY($A6),_xlfn.ANCHORARRAY($B6),_xlfn.ANCHORARRAY($C6),IF(_xlfn.ANCHORARRAY($H6)&gt;=0,40722,50102),IF(_xlfn.ANCHORARRAY($H6)&gt;=0,"Unpaid Salary Accrual","Salary Overpayment Prepayment"),IF(_xlfn.ANCHORARRAY($H6)&lt;0,-_xlfn.ANCHORARRAY($H6),0),IF(_xlfn.ANCHORARRAY($H6)&gt;0,_xlfn.ANCHORARRAY($H6),0))</f>
        <v>45991</v>
      </c>
      <c r="B202">
        <v>1011</v>
      </c>
      <c r="C202">
        <v>14020</v>
      </c>
      <c r="D202">
        <v>50102</v>
      </c>
      <c r="E202" t="str">
        <v>Salary Overpayment Prepayment</v>
      </c>
      <c r="F202" s="28">
        <v>2000</v>
      </c>
      <c r="G202" s="28">
        <v>0</v>
      </c>
    </row>
    <row r="203" spans="1:7" x14ac:dyDescent="0.25">
      <c r="A203" s="26">
        <v>46022</v>
      </c>
      <c r="B203">
        <v>1011</v>
      </c>
      <c r="C203">
        <v>14020</v>
      </c>
      <c r="D203">
        <v>50102</v>
      </c>
      <c r="E203" t="str">
        <v>Salary Overpayment Prepayment</v>
      </c>
      <c r="F203" s="28">
        <v>4000</v>
      </c>
      <c r="G203" s="28">
        <v>0</v>
      </c>
    </row>
    <row r="204" spans="1:7" x14ac:dyDescent="0.25">
      <c r="A204" s="26">
        <v>45991</v>
      </c>
      <c r="B204">
        <v>2056</v>
      </c>
      <c r="C204">
        <v>13010</v>
      </c>
      <c r="D204">
        <v>40722</v>
      </c>
      <c r="E204" t="str">
        <v>Unpaid Salary Accrual</v>
      </c>
      <c r="F204" s="28">
        <v>0</v>
      </c>
      <c r="G204" s="28">
        <v>0</v>
      </c>
    </row>
    <row r="205" spans="1:7" x14ac:dyDescent="0.25">
      <c r="A205" s="26">
        <v>46022</v>
      </c>
      <c r="B205">
        <v>2056</v>
      </c>
      <c r="C205">
        <v>13010</v>
      </c>
      <c r="D205">
        <v>50102</v>
      </c>
      <c r="E205" t="str">
        <v>Salary Overpayment Prepayment</v>
      </c>
      <c r="F205" s="28">
        <v>2000</v>
      </c>
      <c r="G205" s="28">
        <v>0</v>
      </c>
    </row>
    <row r="206" spans="1:7" x14ac:dyDescent="0.25">
      <c r="A206" s="26">
        <v>45991</v>
      </c>
      <c r="B206">
        <v>5765</v>
      </c>
      <c r="C206">
        <v>89709</v>
      </c>
      <c r="D206">
        <v>40722</v>
      </c>
      <c r="E206" t="str">
        <v>Unpaid Salary Accrual</v>
      </c>
      <c r="F206" s="28">
        <v>0</v>
      </c>
      <c r="G206" s="28">
        <v>9000</v>
      </c>
    </row>
    <row r="207" spans="1:7" x14ac:dyDescent="0.25">
      <c r="A207" s="26">
        <v>46022</v>
      </c>
      <c r="B207">
        <v>5765</v>
      </c>
      <c r="C207">
        <v>89709</v>
      </c>
      <c r="D207">
        <v>40722</v>
      </c>
      <c r="E207" t="str">
        <v>Unpaid Salary Accrual</v>
      </c>
      <c r="F207" s="28">
        <v>0</v>
      </c>
      <c r="G207" s="28">
        <v>4000</v>
      </c>
    </row>
    <row r="300" spans="1:7" s="36" customFormat="1" x14ac:dyDescent="0.25">
      <c r="A300" s="29" t="s">
        <v>65</v>
      </c>
    </row>
    <row r="301" spans="1:7" s="36" customFormat="1" x14ac:dyDescent="0.25">
      <c r="A301" s="30" t="s">
        <v>0</v>
      </c>
      <c r="B301" s="30" t="s">
        <v>58</v>
      </c>
      <c r="C301" s="30" t="s">
        <v>13</v>
      </c>
      <c r="D301" s="30" t="s">
        <v>14</v>
      </c>
      <c r="E301" s="30" t="s">
        <v>61</v>
      </c>
      <c r="F301" s="30" t="s">
        <v>62</v>
      </c>
      <c r="G301" s="30" t="s">
        <v>63</v>
      </c>
    </row>
    <row r="302" spans="1:7" x14ac:dyDescent="0.25">
      <c r="A302" s="26" cm="1">
        <f t="array" ref="A302:G313">_xlfn.VSTACK(_xlfn.ANCHORARRAY($A102),_xlfn.ANCHORARRAY($A202))</f>
        <v>45991</v>
      </c>
      <c r="B302">
        <v>1011</v>
      </c>
      <c r="C302">
        <v>14020</v>
      </c>
      <c r="D302">
        <v>20100</v>
      </c>
      <c r="E302" t="str">
        <v>Salary Overpayment Credit</v>
      </c>
      <c r="F302" s="28">
        <v>0</v>
      </c>
      <c r="G302" s="28">
        <v>2000</v>
      </c>
    </row>
    <row r="303" spans="1:7" x14ac:dyDescent="0.25">
      <c r="A303" s="26">
        <v>46022</v>
      </c>
      <c r="B303">
        <v>1011</v>
      </c>
      <c r="C303">
        <v>14020</v>
      </c>
      <c r="D303">
        <v>20100</v>
      </c>
      <c r="E303" t="str">
        <v>Salary Overpayment Credit</v>
      </c>
      <c r="F303" s="28">
        <v>0</v>
      </c>
      <c r="G303" s="28">
        <v>4000</v>
      </c>
    </row>
    <row r="304" spans="1:7" x14ac:dyDescent="0.25">
      <c r="A304" s="26">
        <v>45991</v>
      </c>
      <c r="B304">
        <v>2056</v>
      </c>
      <c r="C304">
        <v>13010</v>
      </c>
      <c r="D304">
        <v>30910</v>
      </c>
      <c r="E304" t="str">
        <v>Accrued Salary Cost</v>
      </c>
      <c r="F304" s="28">
        <v>0</v>
      </c>
      <c r="G304" s="28">
        <v>0</v>
      </c>
    </row>
    <row r="305" spans="1:7" x14ac:dyDescent="0.25">
      <c r="A305" s="26">
        <v>46022</v>
      </c>
      <c r="B305">
        <v>2056</v>
      </c>
      <c r="C305">
        <v>13010</v>
      </c>
      <c r="D305">
        <v>20100</v>
      </c>
      <c r="E305" t="str">
        <v>Salary Overpayment Credit</v>
      </c>
      <c r="F305" s="28">
        <v>0</v>
      </c>
      <c r="G305" s="28">
        <v>2000</v>
      </c>
    </row>
    <row r="306" spans="1:7" x14ac:dyDescent="0.25">
      <c r="A306" s="26">
        <v>45991</v>
      </c>
      <c r="B306">
        <v>5765</v>
      </c>
      <c r="C306">
        <v>89709</v>
      </c>
      <c r="D306">
        <v>30910</v>
      </c>
      <c r="E306" t="str">
        <v>Accrued Salary Cost</v>
      </c>
      <c r="F306" s="28">
        <v>9000</v>
      </c>
      <c r="G306" s="28">
        <v>0</v>
      </c>
    </row>
    <row r="307" spans="1:7" x14ac:dyDescent="0.25">
      <c r="A307" s="26">
        <v>46022</v>
      </c>
      <c r="B307">
        <v>5765</v>
      </c>
      <c r="C307">
        <v>89709</v>
      </c>
      <c r="D307">
        <v>30910</v>
      </c>
      <c r="E307" t="str">
        <v>Accrued Salary Cost</v>
      </c>
      <c r="F307" s="28">
        <v>4000</v>
      </c>
      <c r="G307" s="28">
        <v>0</v>
      </c>
    </row>
    <row r="308" spans="1:7" x14ac:dyDescent="0.25">
      <c r="A308" s="26">
        <v>45991</v>
      </c>
      <c r="B308">
        <v>1011</v>
      </c>
      <c r="C308">
        <v>14020</v>
      </c>
      <c r="D308">
        <v>50102</v>
      </c>
      <c r="E308" t="str">
        <v>Salary Overpayment Prepayment</v>
      </c>
      <c r="F308" s="28">
        <v>2000</v>
      </c>
      <c r="G308" s="28">
        <v>0</v>
      </c>
    </row>
    <row r="309" spans="1:7" x14ac:dyDescent="0.25">
      <c r="A309" s="26">
        <v>46022</v>
      </c>
      <c r="B309">
        <v>1011</v>
      </c>
      <c r="C309">
        <v>14020</v>
      </c>
      <c r="D309">
        <v>50102</v>
      </c>
      <c r="E309" t="str">
        <v>Salary Overpayment Prepayment</v>
      </c>
      <c r="F309" s="28">
        <v>4000</v>
      </c>
      <c r="G309" s="28">
        <v>0</v>
      </c>
    </row>
    <row r="310" spans="1:7" x14ac:dyDescent="0.25">
      <c r="A310" s="26">
        <v>45991</v>
      </c>
      <c r="B310">
        <v>2056</v>
      </c>
      <c r="C310">
        <v>13010</v>
      </c>
      <c r="D310">
        <v>40722</v>
      </c>
      <c r="E310" t="str">
        <v>Unpaid Salary Accrual</v>
      </c>
      <c r="F310" s="28">
        <v>0</v>
      </c>
      <c r="G310" s="28">
        <v>0</v>
      </c>
    </row>
    <row r="311" spans="1:7" x14ac:dyDescent="0.25">
      <c r="A311" s="26">
        <v>46022</v>
      </c>
      <c r="B311">
        <v>2056</v>
      </c>
      <c r="C311">
        <v>13010</v>
      </c>
      <c r="D311">
        <v>50102</v>
      </c>
      <c r="E311" t="str">
        <v>Salary Overpayment Prepayment</v>
      </c>
      <c r="F311" s="28">
        <v>2000</v>
      </c>
      <c r="G311" s="28">
        <v>0</v>
      </c>
    </row>
    <row r="312" spans="1:7" x14ac:dyDescent="0.25">
      <c r="A312" s="26">
        <v>45991</v>
      </c>
      <c r="B312">
        <v>5765</v>
      </c>
      <c r="C312">
        <v>89709</v>
      </c>
      <c r="D312">
        <v>40722</v>
      </c>
      <c r="E312" t="str">
        <v>Unpaid Salary Accrual</v>
      </c>
      <c r="F312" s="28">
        <v>0</v>
      </c>
      <c r="G312" s="28">
        <v>9000</v>
      </c>
    </row>
    <row r="313" spans="1:7" x14ac:dyDescent="0.25">
      <c r="A313" s="26">
        <v>46022</v>
      </c>
      <c r="B313">
        <v>5765</v>
      </c>
      <c r="C313">
        <v>89709</v>
      </c>
      <c r="D313">
        <v>40722</v>
      </c>
      <c r="E313" t="str">
        <v>Unpaid Salary Accrual</v>
      </c>
      <c r="F313" s="28">
        <v>0</v>
      </c>
      <c r="G313" s="28">
        <v>4000</v>
      </c>
    </row>
    <row r="400" spans="1:1" s="36" customFormat="1" x14ac:dyDescent="0.25">
      <c r="A400" s="29" t="s">
        <v>66</v>
      </c>
    </row>
    <row r="401" spans="5:6" s="36" customFormat="1" x14ac:dyDescent="0.25">
      <c r="E401" s="31" t="s">
        <v>67</v>
      </c>
      <c r="F401" s="32">
        <f>SUM(INDEX(_xlfn.ANCHORARRAY(A302),,6))</f>
        <v>21000</v>
      </c>
    </row>
    <row r="402" spans="5:6" s="36" customFormat="1" x14ac:dyDescent="0.25">
      <c r="E402" s="31" t="s">
        <v>68</v>
      </c>
      <c r="F402" s="32">
        <f>SUM(INDEX(_xlfn.ANCHORARRAY(A302),,7))</f>
        <v>21000</v>
      </c>
    </row>
    <row r="403" spans="5:6" s="36" customFormat="1" x14ac:dyDescent="0.25">
      <c r="E403" s="31" t="s">
        <v>69</v>
      </c>
      <c r="F403" s="32">
        <f>F401-F402</f>
        <v>0</v>
      </c>
    </row>
    <row r="404" spans="5:6" s="36" customFormat="1" x14ac:dyDescent="0.25">
      <c r="E404" s="31" t="s">
        <v>70</v>
      </c>
      <c r="F404" s="33" t="str">
        <f>IF(ABS(F403)&lt;0.005,"BALANCED","OUT OF BALANCE")</f>
        <v>BALANCED</v>
      </c>
    </row>
    <row r="405" spans="5:6" s="36" customFormat="1" x14ac:dyDescent="0.25">
      <c r="E405" s="31" t="s">
        <v>71</v>
      </c>
      <c r="F405" s="34">
        <f>ROWS(_xlfn.ANCHORARRAY(A302))</f>
        <v>12</v>
      </c>
    </row>
  </sheetData>
  <conditionalFormatting sqref="F404">
    <cfRule type="cellIs" dxfId="1" priority="1" operator="equal">
      <formula>"BALANCED"</formula>
    </cfRule>
  </conditionalFormatting>
  <conditionalFormatting sqref="F404">
    <cfRule type="cellIs" dxfId="0" priority="2" operator="equal">
      <formula>"OUT OF BALANCE"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95BBB-5D50-41BE-B25E-EBBBB07B4872}">
  <dimension ref="A1:D13"/>
  <sheetViews>
    <sheetView workbookViewId="0"/>
  </sheetViews>
  <sheetFormatPr defaultRowHeight="15.75" x14ac:dyDescent="0.25"/>
  <cols>
    <col min="1" max="1" width="8.375" customWidth="1"/>
    <col min="2" max="2" width="53.375" customWidth="1"/>
    <col min="3" max="3" width="11.625" customWidth="1"/>
    <col min="4" max="4" width="80" customWidth="1"/>
  </cols>
  <sheetData>
    <row r="1" spans="1:4" ht="18.75" x14ac:dyDescent="0.3">
      <c r="A1" s="24" t="s">
        <v>72</v>
      </c>
    </row>
    <row r="2" spans="1:4" x14ac:dyDescent="0.25">
      <c r="A2" s="25" t="s">
        <v>73</v>
      </c>
    </row>
    <row r="4" spans="1:4" x14ac:dyDescent="0.25">
      <c r="A4" s="38" t="s">
        <v>74</v>
      </c>
      <c r="B4" s="38" t="s">
        <v>15</v>
      </c>
      <c r="C4" s="38" t="s">
        <v>70</v>
      </c>
      <c r="D4" s="38" t="s">
        <v>75</v>
      </c>
    </row>
    <row r="5" spans="1:4" ht="31.5" x14ac:dyDescent="0.25">
      <c r="A5" s="39" t="s">
        <v>76</v>
      </c>
      <c r="B5" s="39" t="s">
        <v>77</v>
      </c>
      <c r="C5" s="40" t="s">
        <v>78</v>
      </c>
      <c r="D5" s="39" t="s">
        <v>79</v>
      </c>
    </row>
    <row r="6" spans="1:4" ht="31.5" x14ac:dyDescent="0.25">
      <c r="A6" s="39" t="s">
        <v>80</v>
      </c>
      <c r="B6" s="39" t="s">
        <v>81</v>
      </c>
      <c r="C6" s="40" t="s">
        <v>78</v>
      </c>
      <c r="D6" s="39" t="s">
        <v>82</v>
      </c>
    </row>
    <row r="7" spans="1:4" x14ac:dyDescent="0.25">
      <c r="A7" s="39" t="s">
        <v>83</v>
      </c>
      <c r="B7" s="39" t="s">
        <v>84</v>
      </c>
      <c r="C7" s="40" t="s">
        <v>78</v>
      </c>
      <c r="D7" s="39" t="s">
        <v>85</v>
      </c>
    </row>
    <row r="8" spans="1:4" x14ac:dyDescent="0.25">
      <c r="A8" s="39" t="s">
        <v>86</v>
      </c>
      <c r="B8" s="39" t="s">
        <v>87</v>
      </c>
      <c r="C8" s="40" t="s">
        <v>78</v>
      </c>
      <c r="D8" s="39" t="s">
        <v>88</v>
      </c>
    </row>
    <row r="9" spans="1:4" x14ac:dyDescent="0.25">
      <c r="A9" s="39" t="s">
        <v>89</v>
      </c>
      <c r="B9" s="39" t="s">
        <v>90</v>
      </c>
      <c r="C9" s="40" t="s">
        <v>78</v>
      </c>
      <c r="D9" s="39" t="s">
        <v>91</v>
      </c>
    </row>
    <row r="10" spans="1:4" x14ac:dyDescent="0.25">
      <c r="A10" s="39" t="s">
        <v>92</v>
      </c>
      <c r="B10" s="39" t="s">
        <v>93</v>
      </c>
      <c r="C10" s="40" t="s">
        <v>78</v>
      </c>
      <c r="D10" s="39" t="s">
        <v>94</v>
      </c>
    </row>
    <row r="11" spans="1:4" x14ac:dyDescent="0.25">
      <c r="A11" s="39" t="s">
        <v>95</v>
      </c>
      <c r="B11" s="39" t="s">
        <v>96</v>
      </c>
      <c r="C11" s="40" t="s">
        <v>78</v>
      </c>
      <c r="D11" s="39" t="s">
        <v>97</v>
      </c>
    </row>
    <row r="12" spans="1:4" ht="31.5" x14ac:dyDescent="0.25">
      <c r="A12" s="39" t="s">
        <v>98</v>
      </c>
      <c r="B12" s="39" t="s">
        <v>99</v>
      </c>
      <c r="C12" s="40" t="s">
        <v>78</v>
      </c>
      <c r="D12" s="39" t="s">
        <v>100</v>
      </c>
    </row>
    <row r="13" spans="1:4" x14ac:dyDescent="0.25">
      <c r="A13" s="39" t="s">
        <v>101</v>
      </c>
      <c r="B13" s="39" t="s">
        <v>102</v>
      </c>
      <c r="C13" s="40" t="s">
        <v>78</v>
      </c>
      <c r="D13" s="39" t="s">
        <v>103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65A68A0-1977-4A65-AF9D-018A4FDD91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Claude Log</vt:lpstr>
      <vt:lpstr>General Ledger</vt:lpstr>
      <vt:lpstr>Bank Statement</vt:lpstr>
      <vt:lpstr>Staff List</vt:lpstr>
      <vt:lpstr>Calcs</vt:lpstr>
      <vt:lpstr>Journal</vt:lpstr>
      <vt:lpstr>Validation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Rishi Sapra</dc:creator>
  <cp:keywords/>
  <dc:description/>
  <cp:lastModifiedBy>Rishi Sapra</cp:lastModifiedBy>
  <cp:revision/>
  <dcterms:created xsi:type="dcterms:W3CDTF">2026-01-03T22:06:29Z</dcterms:created>
  <dcterms:modified xsi:type="dcterms:W3CDTF">2026-05-10T17:27:26Z</dcterms:modified>
  <cp:category/>
  <cp:contentStatus/>
</cp:coreProperties>
</file>